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0"/>
  </bookViews>
  <sheets>
    <sheet name="Bidding" sheetId="1" r:id="rId1"/>
  </sheets>
  <externalReferences>
    <externalReference r:id="rId4"/>
  </externalReferences>
  <definedNames>
    <definedName name="_357440428">#REF!</definedName>
    <definedName name="_357449999">#REF!</definedName>
  </definedNames>
  <calcPr fullCalcOnLoad="1"/>
</workbook>
</file>

<file path=xl/sharedStrings.xml><?xml version="1.0" encoding="utf-8"?>
<sst xmlns="http://schemas.openxmlformats.org/spreadsheetml/2006/main" count="51" uniqueCount="28">
  <si>
    <t>Bid From GM #1</t>
  </si>
  <si>
    <t>Bid From GM #2</t>
  </si>
  <si>
    <t>Winning Bid</t>
  </si>
  <si>
    <t>Salary per Year</t>
  </si>
  <si>
    <t>Total Contract Value</t>
  </si>
  <si>
    <t>Length of Contract</t>
  </si>
  <si>
    <t>Option Year (Y/N)</t>
  </si>
  <si>
    <t>n</t>
  </si>
  <si>
    <t>y</t>
  </si>
  <si>
    <t>Player's Age</t>
  </si>
  <si>
    <t>Total Payment</t>
  </si>
  <si>
    <t>Years</t>
  </si>
  <si>
    <t>Initial Age</t>
  </si>
  <si>
    <t>Actual Value</t>
  </si>
  <si>
    <t>Discounted Value</t>
  </si>
  <si>
    <t>Adjusted Value</t>
  </si>
  <si>
    <t>Age</t>
  </si>
  <si>
    <t>Modifier</t>
  </si>
  <si>
    <t>Bid #1</t>
  </si>
  <si>
    <t>Bid #2</t>
  </si>
  <si>
    <t>Year</t>
  </si>
  <si>
    <t>Actual Payment</t>
  </si>
  <si>
    <t>Discount Rate</t>
  </si>
  <si>
    <t>Discount Payment</t>
  </si>
  <si>
    <t>Adjusted Payment</t>
  </si>
  <si>
    <t>TOTAL</t>
  </si>
  <si>
    <t>Median</t>
  </si>
  <si>
    <t>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</si>
</sst>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sz val="9"/>
      <color indexed="56"/>
      <name val="Tahoma"/>
      <family val="2"/>
    </font>
    <font>
      <sz val="9"/>
      <color indexed="51"/>
      <name val="Tahoma"/>
      <family val="2"/>
    </font>
    <font>
      <sz val="10"/>
      <name val="Verdana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C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>
        <color indexed="51"/>
      </left>
      <right/>
      <top style="thick">
        <color indexed="51"/>
      </top>
      <bottom style="thin"/>
    </border>
    <border>
      <left/>
      <right style="thick">
        <color indexed="51"/>
      </right>
      <top style="thick">
        <color indexed="51"/>
      </top>
      <bottom style="thin"/>
    </border>
    <border>
      <left style="thin"/>
      <right style="thin"/>
      <top style="thin"/>
      <bottom/>
    </border>
    <border>
      <left style="thick">
        <color indexed="51"/>
      </left>
      <right/>
      <top style="thin"/>
      <bottom style="thick">
        <color indexed="51"/>
      </bottom>
    </border>
    <border>
      <left/>
      <right style="thick">
        <color indexed="51"/>
      </right>
      <top style="thin"/>
      <bottom style="thick">
        <color indexed="5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>
        <color indexed="51"/>
      </left>
      <right style="thick">
        <color indexed="51"/>
      </right>
      <top style="thick">
        <color indexed="51"/>
      </top>
      <bottom/>
    </border>
    <border>
      <left style="thick">
        <color indexed="51"/>
      </left>
      <right style="thick">
        <color indexed="51"/>
      </right>
      <top/>
      <bottom style="thick">
        <color indexed="51"/>
      </bottom>
    </border>
    <border>
      <left/>
      <right/>
      <top/>
      <bottom style="thick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165" fontId="23" fillId="33" borderId="0">
      <alignment horizontal="left"/>
      <protection/>
    </xf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4" fontId="18" fillId="34" borderId="0" xfId="0" applyNumberFormat="1" applyFont="1" applyFill="1" applyAlignment="1">
      <alignment/>
    </xf>
    <xf numFmtId="0" fontId="18" fillId="34" borderId="0" xfId="0" applyNumberFormat="1" applyFont="1" applyFill="1" applyAlignment="1">
      <alignment/>
    </xf>
    <xf numFmtId="165" fontId="18" fillId="34" borderId="0" xfId="0" applyNumberFormat="1" applyFont="1" applyFill="1" applyAlignment="1">
      <alignment/>
    </xf>
    <xf numFmtId="164" fontId="18" fillId="35" borderId="10" xfId="0" applyNumberFormat="1" applyFont="1" applyFill="1" applyBorder="1" applyAlignment="1">
      <alignment horizontal="center"/>
    </xf>
    <xf numFmtId="164" fontId="18" fillId="35" borderId="11" xfId="0" applyNumberFormat="1" applyFont="1" applyFill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164" fontId="18" fillId="35" borderId="13" xfId="0" applyNumberFormat="1" applyFont="1" applyFill="1" applyBorder="1" applyAlignment="1">
      <alignment horizontal="center"/>
    </xf>
    <xf numFmtId="164" fontId="18" fillId="36" borderId="14" xfId="0" applyNumberFormat="1" applyFont="1" applyFill="1" applyBorder="1" applyAlignment="1">
      <alignment/>
    </xf>
    <xf numFmtId="164" fontId="19" fillId="37" borderId="14" xfId="0" applyNumberFormat="1" applyFont="1" applyFill="1" applyBorder="1" applyAlignment="1">
      <alignment/>
    </xf>
    <xf numFmtId="164" fontId="18" fillId="38" borderId="15" xfId="0" applyNumberFormat="1" applyFont="1" applyFill="1" applyBorder="1" applyAlignment="1">
      <alignment horizontal="center"/>
    </xf>
    <xf numFmtId="164" fontId="18" fillId="38" borderId="16" xfId="0" applyNumberFormat="1" applyFont="1" applyFill="1" applyBorder="1" applyAlignment="1">
      <alignment horizontal="center"/>
    </xf>
    <xf numFmtId="164" fontId="18" fillId="36" borderId="17" xfId="0" applyNumberFormat="1" applyFont="1" applyFill="1" applyBorder="1" applyAlignment="1">
      <alignment/>
    </xf>
    <xf numFmtId="164" fontId="18" fillId="39" borderId="18" xfId="0" applyNumberFormat="1" applyFont="1" applyFill="1" applyBorder="1" applyAlignment="1">
      <alignment/>
    </xf>
    <xf numFmtId="0" fontId="20" fillId="37" borderId="17" xfId="0" applyNumberFormat="1" applyFont="1" applyFill="1" applyBorder="1" applyAlignment="1">
      <alignment/>
    </xf>
    <xf numFmtId="0" fontId="20" fillId="37" borderId="17" xfId="0" applyNumberFormat="1" applyFont="1" applyFill="1" applyBorder="1" applyAlignment="1">
      <alignment horizontal="right"/>
    </xf>
    <xf numFmtId="164" fontId="18" fillId="36" borderId="19" xfId="0" applyNumberFormat="1" applyFont="1" applyFill="1" applyBorder="1" applyAlignment="1">
      <alignment/>
    </xf>
    <xf numFmtId="0" fontId="20" fillId="37" borderId="19" xfId="0" applyNumberFormat="1" applyFont="1" applyFill="1" applyBorder="1" applyAlignment="1">
      <alignment/>
    </xf>
    <xf numFmtId="164" fontId="18" fillId="34" borderId="0" xfId="0" applyNumberFormat="1" applyFont="1" applyFill="1" applyAlignment="1">
      <alignment horizontal="center"/>
    </xf>
    <xf numFmtId="0" fontId="18" fillId="34" borderId="0" xfId="0" applyNumberFormat="1" applyFont="1" applyFill="1" applyAlignment="1">
      <alignment horizontal="center"/>
    </xf>
    <xf numFmtId="165" fontId="18" fillId="34" borderId="0" xfId="0" applyNumberFormat="1" applyFont="1" applyFill="1" applyAlignment="1">
      <alignment horizontal="center"/>
    </xf>
    <xf numFmtId="164" fontId="18" fillId="36" borderId="18" xfId="0" applyNumberFormat="1" applyFont="1" applyFill="1" applyBorder="1" applyAlignment="1">
      <alignment horizontal="center"/>
    </xf>
    <xf numFmtId="164" fontId="18" fillId="35" borderId="0" xfId="0" applyNumberFormat="1" applyFont="1" applyFill="1" applyAlignment="1">
      <alignment/>
    </xf>
    <xf numFmtId="0" fontId="18" fillId="35" borderId="0" xfId="0" applyNumberFormat="1" applyFont="1" applyFill="1" applyAlignment="1">
      <alignment/>
    </xf>
    <xf numFmtId="164" fontId="18" fillId="35" borderId="20" xfId="0" applyNumberFormat="1" applyFont="1" applyFill="1" applyBorder="1" applyAlignment="1">
      <alignment/>
    </xf>
    <xf numFmtId="0" fontId="18" fillId="35" borderId="14" xfId="0" applyNumberFormat="1" applyFont="1" applyFill="1" applyBorder="1" applyAlignment="1">
      <alignment/>
    </xf>
    <xf numFmtId="165" fontId="18" fillId="36" borderId="14" xfId="0" applyNumberFormat="1" applyFont="1" applyFill="1" applyBorder="1" applyAlignment="1">
      <alignment/>
    </xf>
    <xf numFmtId="164" fontId="18" fillId="35" borderId="21" xfId="0" applyNumberFormat="1" applyFont="1" applyFill="1" applyBorder="1" applyAlignment="1">
      <alignment/>
    </xf>
    <xf numFmtId="0" fontId="18" fillId="35" borderId="17" xfId="0" applyNumberFormat="1" applyFont="1" applyFill="1" applyBorder="1" applyAlignment="1">
      <alignment/>
    </xf>
    <xf numFmtId="164" fontId="18" fillId="34" borderId="22" xfId="0" applyNumberFormat="1" applyFont="1" applyFill="1" applyBorder="1" applyAlignment="1">
      <alignment/>
    </xf>
    <xf numFmtId="0" fontId="18" fillId="36" borderId="18" xfId="0" applyNumberFormat="1" applyFont="1" applyFill="1" applyBorder="1" applyAlignment="1">
      <alignment horizontal="center"/>
    </xf>
    <xf numFmtId="164" fontId="18" fillId="35" borderId="18" xfId="0" applyNumberFormat="1" applyFont="1" applyFill="1" applyBorder="1" applyAlignment="1">
      <alignment/>
    </xf>
    <xf numFmtId="10" fontId="18" fillId="35" borderId="14" xfId="0" applyNumberFormat="1" applyFont="1" applyFill="1" applyBorder="1" applyAlignment="1">
      <alignment/>
    </xf>
    <xf numFmtId="0" fontId="18" fillId="35" borderId="18" xfId="0" applyNumberFormat="1" applyFont="1" applyFill="1" applyBorder="1" applyAlignment="1">
      <alignment/>
    </xf>
    <xf numFmtId="165" fontId="18" fillId="35" borderId="18" xfId="0" applyNumberFormat="1" applyFont="1" applyFill="1" applyBorder="1" applyAlignment="1">
      <alignment/>
    </xf>
    <xf numFmtId="164" fontId="18" fillId="39" borderId="18" xfId="0" applyNumberFormat="1" applyFont="1" applyFill="1" applyBorder="1" applyAlignment="1">
      <alignment horizontal="right"/>
    </xf>
    <xf numFmtId="0" fontId="41" fillId="35" borderId="17" xfId="0" applyNumberFormat="1" applyFont="1" applyFill="1" applyBorder="1" applyAlignment="1">
      <alignment/>
    </xf>
    <xf numFmtId="0" fontId="21" fillId="36" borderId="18" xfId="0" applyNumberFormat="1" applyFont="1" applyFill="1" applyBorder="1" applyAlignment="1">
      <alignment horizontal="center"/>
    </xf>
    <xf numFmtId="10" fontId="18" fillId="35" borderId="18" xfId="0" applyNumberFormat="1" applyFont="1" applyFill="1" applyBorder="1" applyAlignment="1">
      <alignment/>
    </xf>
    <xf numFmtId="164" fontId="21" fillId="35" borderId="18" xfId="0" applyNumberFormat="1" applyFont="1" applyFill="1" applyBorder="1" applyAlignment="1">
      <alignment horizontal="center"/>
    </xf>
    <xf numFmtId="164" fontId="18" fillId="38" borderId="18" xfId="0" applyNumberFormat="1" applyFont="1" applyFill="1" applyBorder="1" applyAlignment="1">
      <alignment/>
    </xf>
    <xf numFmtId="164" fontId="18" fillId="34" borderId="14" xfId="0" applyNumberFormat="1" applyFont="1" applyFill="1" applyBorder="1" applyAlignment="1">
      <alignment/>
    </xf>
    <xf numFmtId="0" fontId="18" fillId="34" borderId="23" xfId="0" applyNumberFormat="1" applyFont="1" applyFill="1" applyBorder="1" applyAlignment="1">
      <alignment/>
    </xf>
    <xf numFmtId="165" fontId="18" fillId="34" borderId="24" xfId="0" applyNumberFormat="1" applyFont="1" applyFill="1" applyBorder="1" applyAlignment="1">
      <alignment/>
    </xf>
    <xf numFmtId="165" fontId="18" fillId="36" borderId="18" xfId="0" applyNumberFormat="1" applyFont="1" applyFill="1" applyBorder="1" applyAlignment="1">
      <alignment horizontal="center"/>
    </xf>
    <xf numFmtId="165" fontId="18" fillId="34" borderId="22" xfId="0" applyNumberFormat="1" applyFont="1" applyFill="1" applyBorder="1" applyAlignment="1">
      <alignment/>
    </xf>
    <xf numFmtId="0" fontId="18" fillId="35" borderId="19" xfId="0" applyNumberFormat="1" applyFont="1" applyFill="1" applyBorder="1" applyAlignment="1">
      <alignment/>
    </xf>
    <xf numFmtId="164" fontId="18" fillId="34" borderId="24" xfId="0" applyNumberFormat="1" applyFont="1" applyFill="1" applyBorder="1" applyAlignment="1">
      <alignment/>
    </xf>
    <xf numFmtId="0" fontId="18" fillId="34" borderId="2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SBL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rkit\Downloads\Rost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ter Summary"/>
      <sheetName val="2017 Drafts"/>
      <sheetName val="2018 Drafts"/>
      <sheetName val="2019 Drafts"/>
      <sheetName val="Braves"/>
      <sheetName val="Marlins"/>
      <sheetName val="Mets"/>
      <sheetName val="Phillies"/>
      <sheetName val="Nationals"/>
      <sheetName val="Cubs"/>
      <sheetName val="Reds"/>
      <sheetName val="Brewers"/>
      <sheetName val="Pirates"/>
      <sheetName val="Cardinals"/>
      <sheetName val="Diamondbacks"/>
      <sheetName val="Rockies"/>
      <sheetName val="Dodgers"/>
      <sheetName val="Padres"/>
      <sheetName val="Giants"/>
      <sheetName val="Orioles"/>
      <sheetName val="RedSox"/>
      <sheetName val="Yankees"/>
      <sheetName val="Rays"/>
      <sheetName val="BlueJays"/>
      <sheetName val="WhiteSox"/>
      <sheetName val="Indians"/>
      <sheetName val="Tigers"/>
      <sheetName val="Royals"/>
      <sheetName val="Twins"/>
      <sheetName val="Astros"/>
      <sheetName val="Angels"/>
      <sheetName val="Athletics"/>
      <sheetName val="Mariners"/>
      <sheetName val="Rangers"/>
      <sheetName val="Bidding"/>
      <sheetName val="CE Offers"/>
      <sheetName val="Top 10"/>
      <sheetName val="FA List Hitters"/>
      <sheetName val="FA List Pitchers"/>
      <sheetName val="ESRI_MAPINFO_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44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2.7109375" style="1" customWidth="1"/>
    <col min="2" max="3" width="16.00390625" style="1" customWidth="1"/>
    <col min="4" max="4" width="13.140625" style="1" customWidth="1"/>
    <col min="5" max="6" width="16.00390625" style="1" customWidth="1"/>
    <col min="7" max="7" width="13.140625" style="1" customWidth="1"/>
    <col min="8" max="8" width="16.00390625" style="1" customWidth="1"/>
    <col min="9" max="9" width="9.57421875" style="1" customWidth="1"/>
    <col min="10" max="10" width="4.28125" style="2" customWidth="1"/>
    <col min="11" max="11" width="7.57421875" style="3" customWidth="1"/>
    <col min="12" max="16384" width="9.140625" style="1" customWidth="1"/>
  </cols>
  <sheetData>
    <row r="1" ht="12" thickBot="1"/>
    <row r="2" spans="2:9" ht="12" thickTop="1">
      <c r="B2" s="4" t="s">
        <v>0</v>
      </c>
      <c r="C2" s="5"/>
      <c r="E2" s="4" t="s">
        <v>1</v>
      </c>
      <c r="F2" s="5"/>
      <c r="H2" s="6" t="s">
        <v>2</v>
      </c>
      <c r="I2" s="7"/>
    </row>
    <row r="3" spans="2:9" ht="12" thickBot="1">
      <c r="B3" s="8" t="s">
        <v>3</v>
      </c>
      <c r="C3" s="9">
        <v>20000000</v>
      </c>
      <c r="E3" s="8" t="s">
        <v>3</v>
      </c>
      <c r="F3" s="9">
        <v>20000000</v>
      </c>
      <c r="H3" s="10" t="str">
        <f>IF(H10&gt;H11,"Offer from GM #1","Offer from GM #2")</f>
        <v>Offer from GM #2</v>
      </c>
      <c r="I3" s="11"/>
    </row>
    <row r="4" spans="2:6" ht="12" thickTop="1">
      <c r="B4" s="12" t="s">
        <v>4</v>
      </c>
      <c r="C4" s="13">
        <f>C3*C5</f>
        <v>100000000</v>
      </c>
      <c r="E4" s="12" t="s">
        <v>4</v>
      </c>
      <c r="F4" s="13">
        <f>F3*F5</f>
        <v>100000000</v>
      </c>
    </row>
    <row r="5" spans="2:6" ht="11.25">
      <c r="B5" s="12" t="s">
        <v>5</v>
      </c>
      <c r="C5" s="14">
        <v>5</v>
      </c>
      <c r="E5" s="12" t="s">
        <v>5</v>
      </c>
      <c r="F5" s="14">
        <v>5</v>
      </c>
    </row>
    <row r="6" spans="2:6" ht="11.25">
      <c r="B6" s="12" t="s">
        <v>6</v>
      </c>
      <c r="C6" s="15" t="s">
        <v>7</v>
      </c>
      <c r="E6" s="12" t="s">
        <v>6</v>
      </c>
      <c r="F6" s="15" t="s">
        <v>8</v>
      </c>
    </row>
    <row r="7" spans="2:6" ht="11.25">
      <c r="B7" s="16" t="s">
        <v>9</v>
      </c>
      <c r="C7" s="17">
        <v>27</v>
      </c>
      <c r="E7" s="16" t="s">
        <v>9</v>
      </c>
      <c r="F7" s="17">
        <v>27</v>
      </c>
    </row>
    <row r="9" spans="3:11" ht="12" thickBot="1">
      <c r="C9" s="18" t="s">
        <v>10</v>
      </c>
      <c r="D9" s="18" t="s">
        <v>11</v>
      </c>
      <c r="E9" s="18" t="s">
        <v>12</v>
      </c>
      <c r="F9" s="18" t="s">
        <v>13</v>
      </c>
      <c r="G9" s="18" t="s">
        <v>14</v>
      </c>
      <c r="H9" s="18" t="s">
        <v>15</v>
      </c>
      <c r="J9" s="19" t="s">
        <v>16</v>
      </c>
      <c r="K9" s="20" t="s">
        <v>17</v>
      </c>
    </row>
    <row r="10" spans="2:11" ht="12" thickTop="1">
      <c r="B10" s="21" t="s">
        <v>18</v>
      </c>
      <c r="C10" s="22">
        <f>C21</f>
        <v>100000000</v>
      </c>
      <c r="D10" s="23">
        <f>C5</f>
        <v>5</v>
      </c>
      <c r="E10" s="23">
        <f>C7</f>
        <v>27</v>
      </c>
      <c r="F10" s="22">
        <f>C24</f>
        <v>20000000</v>
      </c>
      <c r="G10" s="22">
        <f>E24</f>
        <v>20000000</v>
      </c>
      <c r="H10" s="24">
        <f>H24</f>
        <v>122765353.20652011</v>
      </c>
      <c r="J10" s="25">
        <v>20</v>
      </c>
      <c r="K10" s="26">
        <v>2</v>
      </c>
    </row>
    <row r="11" spans="2:11" ht="12" thickBot="1">
      <c r="B11" s="21" t="s">
        <v>19</v>
      </c>
      <c r="C11" s="22">
        <f>C37</f>
        <v>100000000</v>
      </c>
      <c r="D11" s="23">
        <f>F5</f>
        <v>5</v>
      </c>
      <c r="E11" s="23">
        <f>F7</f>
        <v>27</v>
      </c>
      <c r="F11" s="22">
        <f>C40</f>
        <v>20000000</v>
      </c>
      <c r="G11" s="22">
        <f>E40</f>
        <v>20000000</v>
      </c>
      <c r="H11" s="27">
        <f>H40</f>
        <v>125913182.77591805</v>
      </c>
      <c r="J11" s="28">
        <v>21</v>
      </c>
      <c r="K11" s="26">
        <f>SUM(K10*1.1)+0.1</f>
        <v>2.3000000000000003</v>
      </c>
    </row>
    <row r="12" spans="2:11" ht="12" thickBot="1" thickTop="1">
      <c r="B12" s="29"/>
      <c r="C12" s="29"/>
      <c r="D12" s="29"/>
      <c r="E12" s="29"/>
      <c r="F12" s="29"/>
      <c r="G12" s="29"/>
      <c r="H12" s="29"/>
      <c r="J12" s="28">
        <v>22</v>
      </c>
      <c r="K12" s="26">
        <f aca="true" t="shared" si="0" ref="K12:K40">SUM(K11*1.1)+0.1</f>
        <v>2.630000000000001</v>
      </c>
    </row>
    <row r="13" spans="2:11" ht="12" thickTop="1">
      <c r="B13" s="19" t="s">
        <v>20</v>
      </c>
      <c r="C13" s="18" t="s">
        <v>21</v>
      </c>
      <c r="D13" s="18" t="s">
        <v>22</v>
      </c>
      <c r="E13" s="18" t="s">
        <v>23</v>
      </c>
      <c r="F13" s="18" t="s">
        <v>16</v>
      </c>
      <c r="G13" s="18" t="s">
        <v>17</v>
      </c>
      <c r="H13" s="18" t="s">
        <v>24</v>
      </c>
      <c r="J13" s="28">
        <v>23</v>
      </c>
      <c r="K13" s="26">
        <f t="shared" si="0"/>
        <v>2.993000000000001</v>
      </c>
    </row>
    <row r="14" spans="2:11" ht="11.25">
      <c r="B14" s="30">
        <v>1</v>
      </c>
      <c r="C14" s="31">
        <f>IF(C5&gt;0,C4/C5,0)</f>
        <v>20000000</v>
      </c>
      <c r="D14" s="32">
        <v>0</v>
      </c>
      <c r="E14" s="31">
        <f>IF(C5&gt;0,(C14-(C14*D14)),0)</f>
        <v>20000000</v>
      </c>
      <c r="F14" s="33">
        <f>C7</f>
        <v>27</v>
      </c>
      <c r="G14" s="34">
        <f>VLOOKUP(F14,J10:K40,2)</f>
        <v>4.846151300000003</v>
      </c>
      <c r="H14" s="35">
        <f aca="true" t="shared" si="1" ref="H14:H20">IF(E14=0,"NONE",E14*G14)</f>
        <v>96923026.00000007</v>
      </c>
      <c r="J14" s="25">
        <v>24</v>
      </c>
      <c r="K14" s="26">
        <f t="shared" si="0"/>
        <v>3.392300000000002</v>
      </c>
    </row>
    <row r="15" spans="2:11" ht="11.25">
      <c r="B15" s="30">
        <v>2</v>
      </c>
      <c r="C15" s="31">
        <f>IF(C5&gt;1,C4/C5,0)</f>
        <v>20000000</v>
      </c>
      <c r="D15" s="32">
        <v>0</v>
      </c>
      <c r="E15" s="31">
        <f>IF(C5&gt;1,(E14-(E14*D15)),0)</f>
        <v>20000000</v>
      </c>
      <c r="F15" s="33">
        <f aca="true" t="shared" si="2" ref="F15:F20">F14+1</f>
        <v>28</v>
      </c>
      <c r="G15" s="34">
        <f aca="true" t="shared" si="3" ref="G15:G20">VLOOKUP(F15,J11:K41,2)</f>
        <v>5.430766430000004</v>
      </c>
      <c r="H15" s="35">
        <f t="shared" si="1"/>
        <v>108615328.60000008</v>
      </c>
      <c r="J15" s="28">
        <v>25</v>
      </c>
      <c r="K15" s="26">
        <f t="shared" si="0"/>
        <v>3.8315300000000025</v>
      </c>
    </row>
    <row r="16" spans="2:11" ht="11.25">
      <c r="B16" s="30">
        <v>3</v>
      </c>
      <c r="C16" s="31">
        <f>IF(C5&gt;2,C4/C5,0)</f>
        <v>20000000</v>
      </c>
      <c r="D16" s="32">
        <v>0</v>
      </c>
      <c r="E16" s="31">
        <f>IF(C5&gt;2,(E15-(E15*D16)),0)</f>
        <v>20000000</v>
      </c>
      <c r="F16" s="33">
        <f t="shared" si="2"/>
        <v>29</v>
      </c>
      <c r="G16" s="34">
        <f t="shared" si="3"/>
        <v>6.073843073000004</v>
      </c>
      <c r="H16" s="35">
        <f t="shared" si="1"/>
        <v>121476861.46000008</v>
      </c>
      <c r="J16" s="28">
        <v>26</v>
      </c>
      <c r="K16" s="26">
        <f t="shared" si="0"/>
        <v>4.314683000000003</v>
      </c>
    </row>
    <row r="17" spans="2:11" ht="11.25">
      <c r="B17" s="30">
        <v>4</v>
      </c>
      <c r="C17" s="31">
        <f>IF(C5&gt;3,C4/C5,0)</f>
        <v>20000000</v>
      </c>
      <c r="D17" s="32">
        <v>0</v>
      </c>
      <c r="E17" s="31">
        <f>IF(C5&gt;3,(E16-(E16*D17)),0)</f>
        <v>20000000</v>
      </c>
      <c r="F17" s="33">
        <f t="shared" si="2"/>
        <v>30</v>
      </c>
      <c r="G17" s="34">
        <f t="shared" si="3"/>
        <v>6.781227380300005</v>
      </c>
      <c r="H17" s="35">
        <f t="shared" si="1"/>
        <v>135624547.6060001</v>
      </c>
      <c r="J17" s="36">
        <v>27</v>
      </c>
      <c r="K17" s="26">
        <f t="shared" si="0"/>
        <v>4.846151300000003</v>
      </c>
    </row>
    <row r="18" spans="2:11" ht="11.25">
      <c r="B18" s="37">
        <v>5</v>
      </c>
      <c r="C18" s="31">
        <f>IF(C5&gt;4,C4/C5,0)</f>
        <v>20000000</v>
      </c>
      <c r="D18" s="38">
        <v>0</v>
      </c>
      <c r="E18" s="31">
        <f>IF(C5&gt;4,(E17-(E17*D18)),0)</f>
        <v>20000000</v>
      </c>
      <c r="F18" s="33">
        <f t="shared" si="2"/>
        <v>31</v>
      </c>
      <c r="G18" s="34">
        <f t="shared" si="3"/>
        <v>7.559350118330006</v>
      </c>
      <c r="H18" s="35">
        <f t="shared" si="1"/>
        <v>151187002.36660013</v>
      </c>
      <c r="J18" s="36">
        <v>28</v>
      </c>
      <c r="K18" s="26">
        <f t="shared" si="0"/>
        <v>5.430766430000004</v>
      </c>
    </row>
    <row r="19" spans="2:11" ht="11.25">
      <c r="B19" s="30">
        <v>6</v>
      </c>
      <c r="C19" s="31">
        <f>IF(C5&gt;5,C4/C5,0)</f>
        <v>0</v>
      </c>
      <c r="D19" s="38">
        <v>0</v>
      </c>
      <c r="E19" s="31">
        <f>IF(C5&gt;5,(E18-(E18*D19)),0)</f>
        <v>0</v>
      </c>
      <c r="F19" s="33">
        <f t="shared" si="2"/>
        <v>32</v>
      </c>
      <c r="G19" s="34">
        <f t="shared" si="3"/>
        <v>8.415285130163006</v>
      </c>
      <c r="H19" s="35" t="str">
        <f t="shared" si="1"/>
        <v>NONE</v>
      </c>
      <c r="J19" s="36">
        <v>29</v>
      </c>
      <c r="K19" s="26">
        <f t="shared" si="0"/>
        <v>6.073843073000004</v>
      </c>
    </row>
    <row r="20" spans="2:11" ht="11.25">
      <c r="B20" s="30">
        <v>7</v>
      </c>
      <c r="C20" s="31">
        <f>IF(C5&gt;6,C4/C5,0)</f>
        <v>0</v>
      </c>
      <c r="D20" s="38">
        <v>0</v>
      </c>
      <c r="E20" s="31">
        <f>IF(C5&gt;6,(E19-(E19*D20)),0)</f>
        <v>0</v>
      </c>
      <c r="F20" s="33">
        <f t="shared" si="2"/>
        <v>33</v>
      </c>
      <c r="G20" s="34">
        <f t="shared" si="3"/>
        <v>9.356813643179308</v>
      </c>
      <c r="H20" s="35" t="str">
        <f t="shared" si="1"/>
        <v>NONE</v>
      </c>
      <c r="J20" s="36">
        <v>30</v>
      </c>
      <c r="K20" s="26">
        <f t="shared" si="0"/>
        <v>6.781227380300005</v>
      </c>
    </row>
    <row r="21" spans="2:11" ht="11.25">
      <c r="B21" s="39" t="s">
        <v>25</v>
      </c>
      <c r="C21" s="40">
        <f>SUM(C14:C20)</f>
        <v>100000000</v>
      </c>
      <c r="D21" s="41"/>
      <c r="E21" s="40">
        <f>SUM(E14:E20)</f>
        <v>100000000</v>
      </c>
      <c r="F21" s="42"/>
      <c r="G21" s="43"/>
      <c r="H21" s="40">
        <f>IF(C6="y",SUM(H14:H20)/0.975,SUM(H14:H20))</f>
        <v>613826766.0326005</v>
      </c>
      <c r="J21" s="28">
        <v>31</v>
      </c>
      <c r="K21" s="26">
        <f t="shared" si="0"/>
        <v>7.559350118330006</v>
      </c>
    </row>
    <row r="22" spans="7:11" ht="11.25">
      <c r="G22" s="3"/>
      <c r="J22" s="28">
        <v>32</v>
      </c>
      <c r="K22" s="26">
        <f t="shared" si="0"/>
        <v>8.415285130163006</v>
      </c>
    </row>
    <row r="23" spans="3:11" ht="11.25">
      <c r="C23" s="18" t="s">
        <v>13</v>
      </c>
      <c r="E23" s="18" t="s">
        <v>14</v>
      </c>
      <c r="G23" s="3"/>
      <c r="H23" s="18" t="s">
        <v>15</v>
      </c>
      <c r="J23" s="28">
        <v>33</v>
      </c>
      <c r="K23" s="26">
        <f t="shared" si="0"/>
        <v>9.356813643179308</v>
      </c>
    </row>
    <row r="24" spans="3:11" ht="11.25">
      <c r="C24" s="40">
        <f>C21/C5</f>
        <v>20000000</v>
      </c>
      <c r="E24" s="40">
        <f>E21/C5</f>
        <v>20000000</v>
      </c>
      <c r="G24" s="3"/>
      <c r="H24" s="40">
        <f>IF(C5&gt;5,MIN(H26,H27),H27)</f>
        <v>122765353.20652011</v>
      </c>
      <c r="J24" s="28">
        <v>34</v>
      </c>
      <c r="K24" s="26">
        <f t="shared" si="0"/>
        <v>10.392495007497239</v>
      </c>
    </row>
    <row r="25" spans="7:11" ht="11.25">
      <c r="G25" s="3"/>
      <c r="J25" s="28">
        <v>35</v>
      </c>
      <c r="K25" s="26">
        <f t="shared" si="0"/>
        <v>11.531744508246963</v>
      </c>
    </row>
    <row r="26" spans="7:11" ht="11.25">
      <c r="G26" s="44" t="s">
        <v>26</v>
      </c>
      <c r="H26" s="13">
        <f>MEDIAN(H14:H20)</f>
        <v>121476861.46000008</v>
      </c>
      <c r="J26" s="28">
        <v>36</v>
      </c>
      <c r="K26" s="26">
        <f t="shared" si="0"/>
        <v>12.784918959071659</v>
      </c>
    </row>
    <row r="27" spans="7:11" ht="11.25">
      <c r="G27" s="44" t="s">
        <v>27</v>
      </c>
      <c r="H27" s="13">
        <f>H21/C5</f>
        <v>122765353.20652011</v>
      </c>
      <c r="J27" s="28">
        <v>37</v>
      </c>
      <c r="K27" s="26">
        <f t="shared" si="0"/>
        <v>14.163410854978826</v>
      </c>
    </row>
    <row r="28" spans="2:11" ht="12" thickBot="1">
      <c r="B28" s="29"/>
      <c r="C28" s="29"/>
      <c r="D28" s="29"/>
      <c r="E28" s="29"/>
      <c r="F28" s="29"/>
      <c r="G28" s="45"/>
      <c r="H28" s="29"/>
      <c r="J28" s="28">
        <v>38</v>
      </c>
      <c r="K28" s="26">
        <f t="shared" si="0"/>
        <v>15.67975194047671</v>
      </c>
    </row>
    <row r="29" spans="2:11" ht="12" thickTop="1">
      <c r="B29" s="19" t="s">
        <v>20</v>
      </c>
      <c r="C29" s="18" t="s">
        <v>21</v>
      </c>
      <c r="D29" s="18" t="s">
        <v>22</v>
      </c>
      <c r="E29" s="18" t="s">
        <v>23</v>
      </c>
      <c r="F29" s="18" t="s">
        <v>16</v>
      </c>
      <c r="G29" s="20" t="s">
        <v>17</v>
      </c>
      <c r="H29" s="18" t="s">
        <v>24</v>
      </c>
      <c r="J29" s="28">
        <v>39</v>
      </c>
      <c r="K29" s="26">
        <f t="shared" si="0"/>
        <v>17.347727134524384</v>
      </c>
    </row>
    <row r="30" spans="2:11" ht="11.25">
      <c r="B30" s="30">
        <v>1</v>
      </c>
      <c r="C30" s="31">
        <f>IF(F5&gt;0,F4/F5,0)</f>
        <v>20000000</v>
      </c>
      <c r="D30" s="32">
        <v>0</v>
      </c>
      <c r="E30" s="31">
        <f>IF(F5&gt;0,(C30-(C30*D30)),0)</f>
        <v>20000000</v>
      </c>
      <c r="F30" s="33">
        <f>F7</f>
        <v>27</v>
      </c>
      <c r="G30" s="34">
        <f>VLOOKUP(F30,J10:K40,2)</f>
        <v>4.846151300000003</v>
      </c>
      <c r="H30" s="35">
        <f aca="true" t="shared" si="4" ref="H30:H36">IF(E30=0,"NONE",E30*G30)</f>
        <v>96923026.00000007</v>
      </c>
      <c r="J30" s="28">
        <v>40</v>
      </c>
      <c r="K30" s="26">
        <f t="shared" si="0"/>
        <v>19.182499847976825</v>
      </c>
    </row>
    <row r="31" spans="2:11" ht="11.25">
      <c r="B31" s="30">
        <v>2</v>
      </c>
      <c r="C31" s="31">
        <f>IF(F5&gt;1,F4/F5,0)</f>
        <v>20000000</v>
      </c>
      <c r="D31" s="32">
        <v>0</v>
      </c>
      <c r="E31" s="31">
        <f>IF(F5&gt;1,(E30-(E30*D31)),0)</f>
        <v>20000000</v>
      </c>
      <c r="F31" s="33">
        <f aca="true" t="shared" si="5" ref="F31:F36">F30+1</f>
        <v>28</v>
      </c>
      <c r="G31" s="34">
        <f aca="true" t="shared" si="6" ref="G31:G36">VLOOKUP(F31,J11:K41,2)</f>
        <v>5.430766430000004</v>
      </c>
      <c r="H31" s="35">
        <f t="shared" si="4"/>
        <v>108615328.60000008</v>
      </c>
      <c r="J31" s="28">
        <v>41</v>
      </c>
      <c r="K31" s="26">
        <f t="shared" si="0"/>
        <v>21.20074983277451</v>
      </c>
    </row>
    <row r="32" spans="2:11" ht="11.25">
      <c r="B32" s="30">
        <v>3</v>
      </c>
      <c r="C32" s="31">
        <f>IF(F5&gt;2,F4/F5,0)</f>
        <v>20000000</v>
      </c>
      <c r="D32" s="32">
        <v>0</v>
      </c>
      <c r="E32" s="31">
        <f>IF(F5&gt;2,(E31-(E31*D32)),0)</f>
        <v>20000000</v>
      </c>
      <c r="F32" s="33">
        <f t="shared" si="5"/>
        <v>29</v>
      </c>
      <c r="G32" s="34">
        <f t="shared" si="6"/>
        <v>6.073843073000004</v>
      </c>
      <c r="H32" s="35">
        <f t="shared" si="4"/>
        <v>121476861.46000008</v>
      </c>
      <c r="J32" s="28">
        <v>42</v>
      </c>
      <c r="K32" s="26">
        <f t="shared" si="0"/>
        <v>23.42082481605196</v>
      </c>
    </row>
    <row r="33" spans="2:11" ht="11.25">
      <c r="B33" s="30">
        <v>4</v>
      </c>
      <c r="C33" s="31">
        <f>IF(F5&gt;3,F4/F5,0)</f>
        <v>20000000</v>
      </c>
      <c r="D33" s="32">
        <v>0</v>
      </c>
      <c r="E33" s="31">
        <f>IF(F5&gt;3,(E32-(E32*D33)),0)</f>
        <v>20000000</v>
      </c>
      <c r="F33" s="33">
        <f t="shared" si="5"/>
        <v>30</v>
      </c>
      <c r="G33" s="34">
        <f t="shared" si="6"/>
        <v>6.781227380300005</v>
      </c>
      <c r="H33" s="35">
        <f t="shared" si="4"/>
        <v>135624547.6060001</v>
      </c>
      <c r="J33" s="28">
        <v>43</v>
      </c>
      <c r="K33" s="26">
        <f t="shared" si="0"/>
        <v>25.862907297657163</v>
      </c>
    </row>
    <row r="34" spans="2:11" ht="11.25">
      <c r="B34" s="37">
        <v>5</v>
      </c>
      <c r="C34" s="31">
        <f>IF(F5&gt;4,F4/F5,0)</f>
        <v>20000000</v>
      </c>
      <c r="D34" s="38">
        <v>0</v>
      </c>
      <c r="E34" s="31">
        <f>IF(F5&gt;4,(E33-(E33*D34)),0)</f>
        <v>20000000</v>
      </c>
      <c r="F34" s="33">
        <f t="shared" si="5"/>
        <v>31</v>
      </c>
      <c r="G34" s="34">
        <f t="shared" si="6"/>
        <v>7.559350118330006</v>
      </c>
      <c r="H34" s="35">
        <f t="shared" si="4"/>
        <v>151187002.36660013</v>
      </c>
      <c r="J34" s="46">
        <v>44</v>
      </c>
      <c r="K34" s="26">
        <f t="shared" si="0"/>
        <v>28.549198027422882</v>
      </c>
    </row>
    <row r="35" spans="2:11" ht="11.25">
      <c r="B35" s="30">
        <v>6</v>
      </c>
      <c r="C35" s="31">
        <f>IF(F5&gt;5,F4/F5,0)</f>
        <v>0</v>
      </c>
      <c r="D35" s="38">
        <v>0</v>
      </c>
      <c r="E35" s="31">
        <f>IF(F5&gt;5,(E34-(E34*D35)),0)</f>
        <v>0</v>
      </c>
      <c r="F35" s="33">
        <f t="shared" si="5"/>
        <v>32</v>
      </c>
      <c r="G35" s="34">
        <f t="shared" si="6"/>
        <v>8.415285130163006</v>
      </c>
      <c r="H35" s="35" t="str">
        <f t="shared" si="4"/>
        <v>NONE</v>
      </c>
      <c r="J35" s="46">
        <v>45</v>
      </c>
      <c r="K35" s="26">
        <f t="shared" si="0"/>
        <v>31.504117830165175</v>
      </c>
    </row>
    <row r="36" spans="2:11" ht="11.25">
      <c r="B36" s="30">
        <v>7</v>
      </c>
      <c r="C36" s="31">
        <f>IF(F5&gt;6,F4/F5,0)</f>
        <v>0</v>
      </c>
      <c r="D36" s="38">
        <v>0</v>
      </c>
      <c r="E36" s="31">
        <f>IF(F5&gt;6,(E35-(E35*D36)),0)</f>
        <v>0</v>
      </c>
      <c r="F36" s="33">
        <f t="shared" si="5"/>
        <v>33</v>
      </c>
      <c r="G36" s="34">
        <f t="shared" si="6"/>
        <v>9.356813643179308</v>
      </c>
      <c r="H36" s="35" t="str">
        <f t="shared" si="4"/>
        <v>NONE</v>
      </c>
      <c r="J36" s="46">
        <v>46</v>
      </c>
      <c r="K36" s="26">
        <f t="shared" si="0"/>
        <v>34.754529613181695</v>
      </c>
    </row>
    <row r="37" spans="2:11" ht="11.25">
      <c r="B37" s="39" t="s">
        <v>25</v>
      </c>
      <c r="C37" s="40">
        <f>SUM(C30:C36)</f>
        <v>100000000</v>
      </c>
      <c r="D37" s="41"/>
      <c r="E37" s="40">
        <f>SUM(E30:E36)</f>
        <v>100000000</v>
      </c>
      <c r="F37" s="42"/>
      <c r="G37" s="47"/>
      <c r="H37" s="40">
        <f>IF(F6="y",SUM(H30:H36)/0.975,SUM(H30:H36))</f>
        <v>629565913.8795903</v>
      </c>
      <c r="J37" s="46">
        <v>47</v>
      </c>
      <c r="K37" s="26">
        <f t="shared" si="0"/>
        <v>38.32998257449987</v>
      </c>
    </row>
    <row r="38" spans="10:11" ht="11.25">
      <c r="J38" s="46">
        <v>48</v>
      </c>
      <c r="K38" s="26">
        <f t="shared" si="0"/>
        <v>42.26298083194987</v>
      </c>
    </row>
    <row r="39" spans="3:11" ht="11.25">
      <c r="C39" s="18" t="s">
        <v>13</v>
      </c>
      <c r="E39" s="18" t="s">
        <v>14</v>
      </c>
      <c r="H39" s="18" t="s">
        <v>15</v>
      </c>
      <c r="J39" s="46">
        <v>49</v>
      </c>
      <c r="K39" s="26">
        <f t="shared" si="0"/>
        <v>46.58927891514486</v>
      </c>
    </row>
    <row r="40" spans="3:11" ht="11.25">
      <c r="C40" s="40">
        <f>C37/F5</f>
        <v>20000000</v>
      </c>
      <c r="E40" s="40">
        <f>E37/F5</f>
        <v>20000000</v>
      </c>
      <c r="H40" s="40">
        <f>IF(F5&gt;5,MIN(H42,H43),H43)</f>
        <v>125913182.77591805</v>
      </c>
      <c r="J40" s="46">
        <v>50</v>
      </c>
      <c r="K40" s="26">
        <f t="shared" si="0"/>
        <v>51.34820680665935</v>
      </c>
    </row>
    <row r="42" spans="7:8" ht="11.25">
      <c r="G42" s="21" t="s">
        <v>26</v>
      </c>
      <c r="H42" s="13">
        <f>MEDIAN(H30:H36)</f>
        <v>121476861.46000008</v>
      </c>
    </row>
    <row r="43" spans="7:8" ht="11.25">
      <c r="G43" s="21" t="s">
        <v>27</v>
      </c>
      <c r="H43" s="13">
        <f>H37/F5</f>
        <v>125913182.77591805</v>
      </c>
    </row>
    <row r="44" spans="2:11" ht="12" thickBot="1">
      <c r="B44" s="29"/>
      <c r="C44" s="29"/>
      <c r="D44" s="29"/>
      <c r="E44" s="29"/>
      <c r="F44" s="29"/>
      <c r="G44" s="29"/>
      <c r="H44" s="29"/>
      <c r="I44" s="29"/>
      <c r="J44" s="48"/>
      <c r="K44" s="45"/>
    </row>
    <row r="45" ht="12" thickTop="1"/>
  </sheetData>
  <sheetProtection/>
  <mergeCells count="4">
    <mergeCell ref="B2:C2"/>
    <mergeCell ref="E2:F2"/>
    <mergeCell ref="H2:I2"/>
    <mergeCell ref="H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Sirkit</dc:creator>
  <cp:keywords/>
  <dc:description/>
  <cp:lastModifiedBy>Sirkit</cp:lastModifiedBy>
  <dcterms:created xsi:type="dcterms:W3CDTF">2017-02-11T04:06:23Z</dcterms:created>
  <dcterms:modified xsi:type="dcterms:W3CDTF">2017-02-11T04:07:13Z</dcterms:modified>
  <cp:category/>
  <cp:version/>
  <cp:contentType/>
  <cp:contentStatus/>
</cp:coreProperties>
</file>